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vkivinen\Opetus\ME-013D (FOR110C)\2022\Leimikon suunnittelu\Laskurit\"/>
    </mc:Choice>
  </mc:AlternateContent>
  <xr:revisionPtr revIDLastSave="0" documentId="13_ncr:1_{77683793-BFC3-4EDC-B248-FFE1B9A5A1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untikustannuslaskelma" sheetId="2" r:id="rId1"/>
    <sheet name="Koneen tuottavuu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3" l="1"/>
  <c r="D11" i="3"/>
  <c r="D18" i="3" s="1"/>
  <c r="D10" i="3"/>
  <c r="D17" i="3" s="1"/>
  <c r="D9" i="3"/>
  <c r="D16" i="3" s="1"/>
  <c r="B63" i="2"/>
  <c r="D19" i="3" l="1"/>
  <c r="B46" i="2" l="1"/>
  <c r="B88" i="2" s="1"/>
  <c r="B83" i="2" l="1"/>
  <c r="B84" i="2" l="1"/>
  <c r="B15" i="2"/>
  <c r="B17" i="2" s="1"/>
  <c r="B18" i="2" s="1"/>
  <c r="B64" i="2" s="1"/>
  <c r="B87" i="2"/>
  <c r="B52" i="2"/>
  <c r="B55" i="2"/>
  <c r="B58" i="2"/>
  <c r="B61" i="2"/>
  <c r="D65" i="2"/>
  <c r="B97" i="2" s="1"/>
  <c r="B14" i="2"/>
  <c r="D44" i="2" l="1"/>
  <c r="B86" i="2" s="1"/>
  <c r="C86" i="2" s="1"/>
  <c r="B96" i="2"/>
  <c r="C96" i="2" s="1"/>
  <c r="C88" i="2"/>
  <c r="B92" i="2"/>
  <c r="C92" i="2" s="1"/>
  <c r="C87" i="2"/>
  <c r="B93" i="2"/>
  <c r="C93" i="2" s="1"/>
  <c r="C97" i="2"/>
  <c r="B94" i="2"/>
  <c r="C94" i="2" s="1"/>
  <c r="B82" i="2"/>
  <c r="B85" i="2" s="1"/>
  <c r="C76" i="2"/>
  <c r="C78" i="2"/>
  <c r="C84" i="2"/>
  <c r="B19" i="2"/>
  <c r="B95" i="2"/>
  <c r="C95" i="2" s="1"/>
  <c r="C83" i="2"/>
  <c r="B29" i="2"/>
  <c r="B21" i="2"/>
  <c r="B74" i="2" l="1"/>
  <c r="C74" i="2" s="1"/>
  <c r="B73" i="2"/>
  <c r="B89" i="2"/>
  <c r="C82" i="2"/>
  <c r="C85" i="2"/>
  <c r="B98" i="2"/>
  <c r="C98" i="2"/>
  <c r="C89" i="2" l="1"/>
  <c r="B79" i="2"/>
  <c r="B101" i="2" s="1"/>
  <c r="B103" i="2" s="1"/>
  <c r="C73" i="2"/>
  <c r="C7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tnurmine</author>
    <author>Tuomo</author>
    <author>Uusitalo, Jori J</author>
  </authors>
  <commentList>
    <comment ref="B13" authorId="0" shapeId="0" xr:uid="{00000000-0006-0000-0000-000001000000}">
      <text>
        <r>
          <rPr>
            <sz val="8"/>
            <color indexed="81"/>
            <rFont val="Tahoma"/>
            <family val="2"/>
          </rPr>
          <t>Työpäiviä keskim. 5 kpl / vko</t>
        </r>
      </text>
    </comment>
    <comment ref="B17" authorId="0" shapeId="0" xr:uid="{00000000-0006-0000-0000-000002000000}">
      <text>
        <r>
          <rPr>
            <sz val="8"/>
            <color indexed="81"/>
            <rFont val="Tahoma"/>
            <family val="2"/>
          </rPr>
          <t>Työmaa-aika = käyttöaika + käyttöajan ulkopuolinen työmaa-aika (&gt; 15 min keskeytykset, huollot yms.)</t>
        </r>
      </text>
    </comment>
    <comment ref="B18" authorId="1" shapeId="0" xr:uid="{00000000-0006-0000-0000-000003000000}">
      <text>
        <r>
          <rPr>
            <sz val="8"/>
            <color indexed="81"/>
            <rFont val="Tahoma"/>
            <family val="2"/>
          </rPr>
          <t>Tehollinen työaika + alle 15min keskeytykset</t>
        </r>
      </text>
    </comment>
    <comment ref="B21" authorId="0" shapeId="0" xr:uid="{00000000-0006-0000-0000-000004000000}">
      <text>
        <r>
          <rPr>
            <sz val="8"/>
            <color indexed="81"/>
            <rFont val="Tahoma"/>
            <family val="2"/>
          </rPr>
          <t>Työmaa-aika + siirtoaika
Aika, jolta kuskien tuntipalkka maksetaan !</t>
        </r>
      </text>
    </comment>
    <comment ref="A73" authorId="2" shapeId="0" xr:uid="{00000000-0006-0000-0000-000005000000}">
      <text>
        <r>
          <rPr>
            <b/>
            <sz val="9"/>
            <color indexed="81"/>
            <rFont val="Tahoma"/>
            <family val="2"/>
          </rPr>
          <t>Uusitalo, Jori J:</t>
        </r>
        <r>
          <rPr>
            <sz val="9"/>
            <color indexed="81"/>
            <rFont val="Tahoma"/>
            <family val="2"/>
          </rPr>
          <t xml:space="preserve">
Kuormatraktori  ja huoltolaitteisto</t>
        </r>
      </text>
    </comment>
    <comment ref="B73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tnurmine:</t>
        </r>
        <r>
          <rPr>
            <sz val="8"/>
            <color indexed="81"/>
            <rFont val="Tahoma"/>
            <family val="2"/>
          </rPr>
          <t xml:space="preserve">
Tasapoistona keskimääräiselle sidotulle pääomalle</t>
        </r>
      </text>
    </comment>
    <comment ref="A74" authorId="2" shapeId="0" xr:uid="{00000000-0006-0000-0000-000007000000}">
      <text>
        <r>
          <rPr>
            <b/>
            <sz val="9"/>
            <color indexed="81"/>
            <rFont val="Tahoma"/>
            <family val="2"/>
          </rPr>
          <t>Uusitalo, Jori J:</t>
        </r>
        <r>
          <rPr>
            <sz val="9"/>
            <color indexed="81"/>
            <rFont val="Tahoma"/>
            <family val="2"/>
          </rPr>
          <t xml:space="preserve">
Kuormatraktori, 
huoltolaitteisto ja käytöpääoma</t>
        </r>
      </text>
    </comment>
    <comment ref="B74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tnurmine:</t>
        </r>
        <r>
          <rPr>
            <sz val="8"/>
            <color indexed="81"/>
            <rFont val="Tahoma"/>
            <family val="2"/>
          </rPr>
          <t xml:space="preserve">
Keskimääräiselle pääomalle</t>
        </r>
      </text>
    </comment>
    <comment ref="B75" authorId="2" shapeId="0" xr:uid="{00000000-0006-0000-0000-000009000000}">
      <text>
        <r>
          <rPr>
            <b/>
            <sz val="9"/>
            <color indexed="81"/>
            <rFont val="Tahoma"/>
            <family val="2"/>
          </rPr>
          <t>Uusitalo, Jori J:</t>
        </r>
        <r>
          <rPr>
            <sz val="9"/>
            <color indexed="81"/>
            <rFont val="Tahoma"/>
            <family val="2"/>
          </rPr>
          <t xml:space="preserve">
Yhden koneen osuus</t>
        </r>
      </text>
    </comment>
    <comment ref="B83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tnurmine:</t>
        </r>
        <r>
          <rPr>
            <sz val="8"/>
            <color indexed="81"/>
            <rFont val="Tahoma"/>
            <family val="2"/>
          </rPr>
          <t xml:space="preserve">
Iltavuoron 4 viimeiseltä tunnilta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Uusitalo, Jori J</author>
  </authors>
  <commentList>
    <comment ref="G1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Uusitalo, Jori J:</t>
        </r>
        <r>
          <rPr>
            <sz val="9"/>
            <color indexed="81"/>
            <rFont val="Tahoma"/>
            <family val="2"/>
          </rPr>
          <t xml:space="preserve">
kellotuksella havaittu
</t>
        </r>
      </text>
    </comment>
    <comment ref="H1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Uusitalo, Jori J:</t>
        </r>
        <r>
          <rPr>
            <sz val="9"/>
            <color indexed="81"/>
            <rFont val="Tahoma"/>
            <family val="2"/>
          </rPr>
          <t xml:space="preserve">
Pitkän aikavälin seuranta</t>
        </r>
      </text>
    </comment>
  </commentList>
</comments>
</file>

<file path=xl/sharedStrings.xml><?xml version="1.0" encoding="utf-8"?>
<sst xmlns="http://schemas.openxmlformats.org/spreadsheetml/2006/main" count="164" uniqueCount="120">
  <si>
    <t>v</t>
  </si>
  <si>
    <t>€</t>
  </si>
  <si>
    <t>%</t>
  </si>
  <si>
    <t>h</t>
  </si>
  <si>
    <t>€/km</t>
  </si>
  <si>
    <t>Korkokanta</t>
  </si>
  <si>
    <t xml:space="preserve">   Vieras pääoma</t>
  </si>
  <si>
    <t xml:space="preserve">   Oma pääoma</t>
  </si>
  <si>
    <t>Oman pääoman osuus</t>
  </si>
  <si>
    <t>Korko keskimäärin</t>
  </si>
  <si>
    <t>€/vuosi</t>
  </si>
  <si>
    <t xml:space="preserve">   </t>
  </si>
  <si>
    <t>Polttoaineen hinta</t>
  </si>
  <si>
    <t>€/litra</t>
  </si>
  <si>
    <t>Polttoaineen kulutus</t>
  </si>
  <si>
    <t>l/käyttötunti</t>
  </si>
  <si>
    <t>Polttoainekustannukset</t>
  </si>
  <si>
    <t>Korjaus ja huolto keskim. pitoajalla</t>
  </si>
  <si>
    <t>€/käyttötunti</t>
  </si>
  <si>
    <t>Siirtokustannukset</t>
  </si>
  <si>
    <t>Pääoman poistot</t>
  </si>
  <si>
    <t>Korkokustannukset</t>
  </si>
  <si>
    <t>Yhteensä</t>
  </si>
  <si>
    <t>KUORMATRAKTORIN TUNTIKUSTANNUSLASKELMA</t>
  </si>
  <si>
    <t>Kuormatraktorin pitoajan käyttötunnit</t>
  </si>
  <si>
    <t>Kuormatraktorin pitoaika</t>
  </si>
  <si>
    <t>Kuormatraktorin arvonalenemisprosentti</t>
  </si>
  <si>
    <t>I VUOSITYÖAJAN JA VUOSITYÖMÄÄRÄN LASKENTAPERUSTEET</t>
  </si>
  <si>
    <t>Työvuororakenne</t>
  </si>
  <si>
    <t>1-vuorossa</t>
  </si>
  <si>
    <t>kk/v</t>
  </si>
  <si>
    <t>2-vuorossa</t>
  </si>
  <si>
    <t>Kokonaisaika</t>
  </si>
  <si>
    <t>vkoa</t>
  </si>
  <si>
    <t>Seisonta-aika</t>
  </si>
  <si>
    <t>Työaika</t>
  </si>
  <si>
    <t>Työvuoron pituus</t>
  </si>
  <si>
    <t>Työpäiviä kuukaudessa</t>
  </si>
  <si>
    <t>kpl</t>
  </si>
  <si>
    <t>Työpäiviä yhteensä</t>
  </si>
  <si>
    <t>Työvuoroja yhteensä</t>
  </si>
  <si>
    <t>kpl/v</t>
  </si>
  <si>
    <t>h/v</t>
  </si>
  <si>
    <t>km/v</t>
  </si>
  <si>
    <t>Käyttöaika</t>
  </si>
  <si>
    <t>Työmaa-aika</t>
  </si>
  <si>
    <t>II KUSTANNUSTEN LASKENTAPERUSTEET (alv 0%)</t>
  </si>
  <si>
    <t>Kiinteät kustannukset</t>
  </si>
  <si>
    <t>Työvoimakustannukset</t>
  </si>
  <si>
    <t>Muuttuvat kustannukset</t>
  </si>
  <si>
    <t>Kuljettajan perustuntipalkka</t>
  </si>
  <si>
    <t>Iltavuorolisä</t>
  </si>
  <si>
    <t>Väilliset palkkakustannukset</t>
  </si>
  <si>
    <t>€/h</t>
  </si>
  <si>
    <t>Vakuutukset (liikenne- ja kasko)</t>
  </si>
  <si>
    <t>Kiinteät kustannustekijät</t>
  </si>
  <si>
    <t>Työvoimakustannustekijät</t>
  </si>
  <si>
    <t>Muuttuvat kustannustekijät</t>
  </si>
  <si>
    <t>Kulkemiskorvaukset omalla autolla</t>
  </si>
  <si>
    <t>Ateriakorvaus</t>
  </si>
  <si>
    <t>€/päivä</t>
  </si>
  <si>
    <t>III KUSTANNUKSET (alv 0%)</t>
  </si>
  <si>
    <t>Moottoriöljyn hinta</t>
  </si>
  <si>
    <t>Moottoriöljyn kulutus</t>
  </si>
  <si>
    <t>Moottoriöljykustannukset</t>
  </si>
  <si>
    <t>Vaihteistoöljyn hinta</t>
  </si>
  <si>
    <t>Vaihteistoöljyn kulutus</t>
  </si>
  <si>
    <t>Vaihteistoöljykustannukset</t>
  </si>
  <si>
    <t>Kuormatraktorin uushankintahinta (lisävarustein)</t>
  </si>
  <si>
    <t>Työmaa-ajan palkka</t>
  </si>
  <si>
    <t>Palkkasivukustannukset</t>
  </si>
  <si>
    <t>Siirtoaika</t>
  </si>
  <si>
    <t>Muu työmaa-aika</t>
  </si>
  <si>
    <t>Kokonaistyöaika</t>
  </si>
  <si>
    <t>Siirtotyöajan palkka</t>
  </si>
  <si>
    <t>Kulkemiskorvaukset</t>
  </si>
  <si>
    <t>Ateriakorvaukset</t>
  </si>
  <si>
    <t>Polttoaine</t>
  </si>
  <si>
    <t>Mootto-öljy</t>
  </si>
  <si>
    <t>Vaihteistoöljy</t>
  </si>
  <si>
    <t>Hydrauliöljy</t>
  </si>
  <si>
    <t>Korjaus ja huolto</t>
  </si>
  <si>
    <t>Siirrot</t>
  </si>
  <si>
    <t>km/vuosi</t>
  </si>
  <si>
    <t>Metsätraktorin kustannukset yhteensä</t>
  </si>
  <si>
    <t>esim. Ponsse Buffalo tai JD 1110</t>
  </si>
  <si>
    <t>Työmaakäynnit ja työnjohto</t>
  </si>
  <si>
    <t>€/hlö/v</t>
  </si>
  <si>
    <t>% työmaajasta</t>
  </si>
  <si>
    <t>Kuormatraktorin huoltovälineistö</t>
  </si>
  <si>
    <t>Käyttöpääoma</t>
  </si>
  <si>
    <t>Työterveyshuolto + virkistys + kehittäminen</t>
  </si>
  <si>
    <t>Kiinteistökulut</t>
  </si>
  <si>
    <r>
      <t xml:space="preserve">Hallinto ja ylläpito </t>
    </r>
    <r>
      <rPr>
        <sz val="10"/>
        <rFont val="Arial"/>
        <family val="2"/>
      </rPr>
      <t>(sis. mm. kirjanpito, talous,puhelin)</t>
    </r>
  </si>
  <si>
    <t xml:space="preserve">Työterveyshuolto + virkistys + kehittäminen </t>
  </si>
  <si>
    <t>päivää(työvuoroa)/v</t>
  </si>
  <si>
    <t>(sis. myös varaosat ja muun huoltokaluston)</t>
  </si>
  <si>
    <t>% koneen hankintahinnasta/pitoaika/käyttötunnit</t>
  </si>
  <si>
    <t>€/v</t>
  </si>
  <si>
    <t>Käyttötuntituotos</t>
  </si>
  <si>
    <t>m3/h</t>
  </si>
  <si>
    <t>avohakkuu</t>
  </si>
  <si>
    <t>harvennus</t>
  </si>
  <si>
    <t>ensiharvennus</t>
  </si>
  <si>
    <t>Vuosituotos</t>
  </si>
  <si>
    <t>m3</t>
  </si>
  <si>
    <t>Käyttötunnit</t>
  </si>
  <si>
    <t>HUOM!</t>
  </si>
  <si>
    <t>Tuntikustannuslaskelman käyttötunnit ja</t>
  </si>
  <si>
    <t>Todellisen tuotoksen tunnit tulee olla tasapainossa (eli suurin piirtein yhtä suuret)</t>
  </si>
  <si>
    <t>KUORMATRAKTORIN TUOTTAVUUS</t>
  </si>
  <si>
    <t>Eriksson &amp; Lindroos 2014</t>
  </si>
  <si>
    <t>Nurminen, Korpunen&amp; Uusitalo 2006</t>
  </si>
  <si>
    <t>Pitkän ajan tuottavuus</t>
  </si>
  <si>
    <t>Tehotuottavuuus kerrottu</t>
  </si>
  <si>
    <t>Pitkän aikavälin koneseuranta</t>
  </si>
  <si>
    <t>Kuormatraktorin jäännösarvo</t>
  </si>
  <si>
    <t>Hydrauliöljyn hinta</t>
  </si>
  <si>
    <t>Hydrauliöljyn kulutus</t>
  </si>
  <si>
    <t>Hydrauliöljykustannukset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</si>
</sst>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_)"/>
  </numFmts>
  <fonts count="18" x14ac:knownFonts="1"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Helv"/>
    </font>
    <font>
      <b/>
      <sz val="10"/>
      <name val="Helv"/>
    </font>
    <font>
      <b/>
      <sz val="10"/>
      <color indexed="10"/>
      <name val="Helv"/>
    </font>
    <font>
      <sz val="10"/>
      <color indexed="10"/>
      <name val="Helv"/>
    </font>
    <font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0" xfId="0" applyFont="1"/>
    <xf numFmtId="2" fontId="0" fillId="0" borderId="0" xfId="0" applyNumberFormat="1"/>
    <xf numFmtId="0" fontId="5" fillId="0" borderId="0" xfId="0" applyFont="1"/>
    <xf numFmtId="0" fontId="6" fillId="0" borderId="0" xfId="0" applyFont="1"/>
    <xf numFmtId="2" fontId="4" fillId="0" borderId="0" xfId="0" applyNumberFormat="1" applyFont="1"/>
    <xf numFmtId="165" fontId="8" fillId="0" borderId="0" xfId="0" quotePrefix="1" applyNumberFormat="1" applyFont="1" applyAlignment="1" applyProtection="1">
      <alignment horizontal="left"/>
    </xf>
    <xf numFmtId="0" fontId="8" fillId="0" borderId="0" xfId="0" applyFont="1"/>
    <xf numFmtId="165" fontId="8" fillId="0" borderId="0" xfId="0" applyNumberFormat="1" applyFont="1" applyAlignment="1" applyProtection="1">
      <alignment horizontal="left"/>
    </xf>
    <xf numFmtId="0" fontId="7" fillId="0" borderId="0" xfId="0" applyFont="1"/>
    <xf numFmtId="1" fontId="9" fillId="0" borderId="0" xfId="0" applyNumberFormat="1" applyFont="1" applyProtection="1"/>
    <xf numFmtId="2" fontId="9" fillId="0" borderId="0" xfId="0" applyNumberFormat="1" applyFont="1" applyProtection="1"/>
    <xf numFmtId="2" fontId="8" fillId="0" borderId="0" xfId="0" applyNumberFormat="1" applyFont="1" applyAlignment="1">
      <alignment horizontal="left"/>
    </xf>
    <xf numFmtId="0" fontId="4" fillId="2" borderId="0" xfId="0" applyFont="1" applyFill="1"/>
    <xf numFmtId="2" fontId="0" fillId="2" borderId="0" xfId="0" applyNumberFormat="1" applyFill="1"/>
    <xf numFmtId="0" fontId="0" fillId="2" borderId="0" xfId="0" applyFill="1"/>
    <xf numFmtId="1" fontId="9" fillId="2" borderId="0" xfId="0" applyNumberFormat="1" applyFont="1" applyFill="1" applyProtection="1"/>
    <xf numFmtId="2" fontId="9" fillId="2" borderId="0" xfId="0" applyNumberFormat="1" applyFont="1" applyFill="1" applyProtection="1"/>
    <xf numFmtId="0" fontId="8" fillId="2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0" xfId="0" applyFont="1" applyFill="1" applyBorder="1"/>
    <xf numFmtId="0" fontId="6" fillId="3" borderId="1" xfId="0" applyFont="1" applyFill="1" applyBorder="1"/>
    <xf numFmtId="1" fontId="6" fillId="3" borderId="1" xfId="0" applyNumberFormat="1" applyFont="1" applyFill="1" applyBorder="1"/>
    <xf numFmtId="1" fontId="4" fillId="3" borderId="1" xfId="0" applyNumberFormat="1" applyFont="1" applyFill="1" applyBorder="1"/>
    <xf numFmtId="0" fontId="6" fillId="2" borderId="0" xfId="0" applyFont="1" applyFill="1"/>
    <xf numFmtId="2" fontId="0" fillId="3" borderId="1" xfId="0" applyNumberFormat="1" applyFill="1" applyBorder="1"/>
    <xf numFmtId="1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>
      <alignment horizontal="left" indent="2"/>
    </xf>
    <xf numFmtId="0" fontId="0" fillId="0" borderId="2" xfId="0" applyBorder="1" applyAlignment="1">
      <alignment horizontal="left" indent="2"/>
    </xf>
    <xf numFmtId="2" fontId="0" fillId="0" borderId="2" xfId="0" applyNumberFormat="1" applyBorder="1"/>
    <xf numFmtId="1" fontId="4" fillId="0" borderId="0" xfId="0" applyNumberFormat="1" applyFont="1" applyBorder="1"/>
    <xf numFmtId="0" fontId="11" fillId="0" borderId="0" xfId="0" applyFont="1"/>
    <xf numFmtId="1" fontId="10" fillId="0" borderId="0" xfId="0" applyNumberFormat="1" applyFont="1" applyProtection="1"/>
    <xf numFmtId="2" fontId="10" fillId="0" borderId="0" xfId="0" applyNumberFormat="1" applyFont="1" applyProtection="1"/>
    <xf numFmtId="1" fontId="0" fillId="0" borderId="2" xfId="0" applyNumberFormat="1" applyBorder="1"/>
    <xf numFmtId="0" fontId="6" fillId="0" borderId="0" xfId="0" applyFont="1" applyFill="1" applyAlignment="1">
      <alignment horizontal="left" indent="4"/>
    </xf>
    <xf numFmtId="0" fontId="6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indent="2"/>
    </xf>
    <xf numFmtId="2" fontId="4" fillId="4" borderId="2" xfId="0" applyNumberFormat="1" applyFont="1" applyFill="1" applyBorder="1"/>
    <xf numFmtId="0" fontId="4" fillId="4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1" fontId="4" fillId="0" borderId="5" xfId="0" applyNumberFormat="1" applyFont="1" applyFill="1" applyBorder="1"/>
    <xf numFmtId="0" fontId="4" fillId="0" borderId="6" xfId="0" applyFont="1" applyFill="1" applyBorder="1" applyAlignment="1">
      <alignment horizontal="left"/>
    </xf>
    <xf numFmtId="0" fontId="0" fillId="0" borderId="7" xfId="0" applyFill="1" applyBorder="1"/>
    <xf numFmtId="0" fontId="4" fillId="0" borderId="0" xfId="0" applyFont="1" applyFill="1"/>
    <xf numFmtId="0" fontId="12" fillId="0" borderId="0" xfId="0" applyFont="1" applyFill="1"/>
    <xf numFmtId="2" fontId="0" fillId="0" borderId="0" xfId="0" applyNumberFormat="1" applyFill="1"/>
    <xf numFmtId="0" fontId="0" fillId="0" borderId="0" xfId="0" applyFill="1"/>
    <xf numFmtId="1" fontId="9" fillId="0" borderId="0" xfId="0" applyNumberFormat="1" applyFont="1" applyFill="1" applyProtection="1"/>
    <xf numFmtId="2" fontId="9" fillId="0" borderId="0" xfId="0" applyNumberFormat="1" applyFont="1" applyFill="1" applyProtection="1"/>
    <xf numFmtId="0" fontId="8" fillId="0" borderId="0" xfId="0" applyFont="1" applyFill="1"/>
    <xf numFmtId="1" fontId="6" fillId="5" borderId="1" xfId="0" applyNumberFormat="1" applyFont="1" applyFill="1" applyBorder="1"/>
    <xf numFmtId="2" fontId="0" fillId="5" borderId="1" xfId="0" applyNumberFormat="1" applyFill="1" applyBorder="1"/>
    <xf numFmtId="2" fontId="0" fillId="0" borderId="0" xfId="0" applyNumberFormat="1" applyFill="1" applyBorder="1"/>
    <xf numFmtId="0" fontId="0" fillId="0" borderId="0" xfId="0" applyBorder="1" applyAlignment="1">
      <alignment horizontal="left" indent="2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/>
    <xf numFmtId="0" fontId="14" fillId="0" borderId="0" xfId="0" applyFont="1"/>
    <xf numFmtId="0" fontId="13" fillId="0" borderId="0" xfId="0" applyFont="1" applyFill="1" applyBorder="1" applyAlignment="1">
      <alignment horizontal="left" indent="2"/>
    </xf>
    <xf numFmtId="0" fontId="6" fillId="0" borderId="2" xfId="0" applyFont="1" applyBorder="1" applyAlignment="1">
      <alignment horizontal="left" indent="2"/>
    </xf>
    <xf numFmtId="1" fontId="0" fillId="0" borderId="0" xfId="0" applyNumberFormat="1" applyBorder="1"/>
    <xf numFmtId="2" fontId="0" fillId="0" borderId="0" xfId="0" applyNumberFormat="1" applyBorder="1"/>
    <xf numFmtId="1" fontId="0" fillId="6" borderId="8" xfId="0" applyNumberFormat="1" applyFill="1" applyBorder="1"/>
    <xf numFmtId="1" fontId="0" fillId="6" borderId="1" xfId="0" applyNumberFormat="1" applyFill="1" applyBorder="1"/>
    <xf numFmtId="0" fontId="15" fillId="0" borderId="2" xfId="0" applyFont="1" applyFill="1" applyBorder="1" applyAlignment="1">
      <alignment horizontal="left" indent="2"/>
    </xf>
    <xf numFmtId="1" fontId="15" fillId="0" borderId="0" xfId="0" applyNumberFormat="1" applyFont="1" applyFill="1" applyBorder="1"/>
    <xf numFmtId="0" fontId="15" fillId="0" borderId="0" xfId="0" applyFont="1" applyFill="1" applyBorder="1" applyAlignment="1">
      <alignment horizontal="left" indent="2"/>
    </xf>
    <xf numFmtId="1" fontId="15" fillId="0" borderId="2" xfId="0" applyNumberFormat="1" applyFont="1" applyFill="1" applyBorder="1"/>
    <xf numFmtId="2" fontId="15" fillId="5" borderId="1" xfId="0" applyNumberFormat="1" applyFont="1" applyFill="1" applyBorder="1"/>
    <xf numFmtId="2" fontId="15" fillId="3" borderId="1" xfId="0" applyNumberFormat="1" applyFont="1" applyFill="1" applyBorder="1"/>
    <xf numFmtId="1" fontId="15" fillId="3" borderId="1" xfId="0" applyNumberFormat="1" applyFont="1" applyFill="1" applyBorder="1"/>
    <xf numFmtId="0" fontId="15" fillId="3" borderId="1" xfId="0" applyFont="1" applyFill="1" applyBorder="1"/>
    <xf numFmtId="0" fontId="15" fillId="0" borderId="0" xfId="0" applyFont="1"/>
    <xf numFmtId="1" fontId="15" fillId="5" borderId="1" xfId="0" applyNumberFormat="1" applyFont="1" applyFill="1" applyBorder="1"/>
    <xf numFmtId="164" fontId="15" fillId="3" borderId="1" xfId="0" applyNumberFormat="1" applyFont="1" applyFill="1" applyBorder="1"/>
    <xf numFmtId="0" fontId="15" fillId="5" borderId="1" xfId="0" applyFont="1" applyFill="1" applyBorder="1"/>
    <xf numFmtId="0" fontId="4" fillId="0" borderId="9" xfId="0" applyFont="1" applyFill="1" applyBorder="1" applyAlignment="1">
      <alignment horizontal="left"/>
    </xf>
    <xf numFmtId="1" fontId="4" fillId="0" borderId="0" xfId="0" applyNumberFormat="1" applyFont="1" applyFill="1" applyBorder="1"/>
    <xf numFmtId="0" fontId="4" fillId="0" borderId="10" xfId="0" applyFont="1" applyFill="1" applyBorder="1" applyAlignment="1">
      <alignment horizontal="left"/>
    </xf>
    <xf numFmtId="0" fontId="0" fillId="6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2" fontId="13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326572</xdr:colOff>
      <xdr:row>0</xdr:row>
      <xdr:rowOff>0</xdr:rowOff>
    </xdr:from>
    <xdr:to>
      <xdr:col>13</xdr:col>
      <xdr:colOff>76200</xdr:colOff>
      <xdr:row>12</xdr:row>
      <xdr:rowOff>128716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2972" y="0"/>
          <a:ext cx="2188028" cy="2140396"/>
        </a:xfrm>
        <a:prstGeom prst="rect">
          <a:avLst/>
        </a:prstGeom>
      </xdr:spPr>
    </xdr:pic>
    <xdr:clientData/>
  </xdr:twoCellAnchor>
  <xdr:twoCellAnchor editAs="oneCell">
    <xdr:from>
      <xdr:col>10</xdr:col>
      <xdr:colOff>29390</xdr:colOff>
      <xdr:row>14</xdr:row>
      <xdr:rowOff>9277</xdr:rowOff>
    </xdr:from>
    <xdr:to>
      <xdr:col>17</xdr:col>
      <xdr:colOff>193804</xdr:colOff>
      <xdr:row>39</xdr:row>
      <xdr:rowOff>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25390" y="2356237"/>
          <a:ext cx="4431614" cy="4181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3"/>
  <sheetViews>
    <sheetView tabSelected="1" topLeftCell="A85" zoomScale="110" zoomScaleNormal="110" workbookViewId="0">
      <selection activeCell="B66" sqref="B66"/>
    </sheetView>
  </sheetViews>
  <sheetFormatPr defaultRowHeight="13.2" x14ac:dyDescent="0.25"/>
  <cols>
    <col min="1" max="1" width="71.77734375" customWidth="1"/>
    <col min="2" max="2" width="12.77734375" style="2" customWidth="1"/>
    <col min="3" max="3" width="15" bestFit="1" customWidth="1"/>
    <col min="4" max="4" width="12.21875" bestFit="1" customWidth="1"/>
    <col min="5" max="5" width="17.21875" customWidth="1"/>
    <col min="6" max="6" width="9.77734375" bestFit="1" customWidth="1"/>
    <col min="7" max="7" width="14.5546875" bestFit="1" customWidth="1"/>
    <col min="8" max="8" width="12.5546875" bestFit="1" customWidth="1"/>
  </cols>
  <sheetData>
    <row r="1" spans="1:12" s="50" customFormat="1" x14ac:dyDescent="0.25">
      <c r="A1" s="47" t="s">
        <v>23</v>
      </c>
      <c r="B1" s="49"/>
      <c r="C1" s="48"/>
      <c r="D1" s="60"/>
      <c r="E1" s="60"/>
      <c r="I1" s="51"/>
      <c r="J1" s="52"/>
      <c r="K1" s="52"/>
      <c r="L1" s="53"/>
    </row>
    <row r="2" spans="1:12" x14ac:dyDescent="0.25">
      <c r="A2" s="3" t="s">
        <v>85</v>
      </c>
      <c r="D2" s="59"/>
      <c r="E2" s="59"/>
      <c r="I2" s="10"/>
      <c r="J2" s="11"/>
      <c r="K2" s="11"/>
      <c r="L2" s="7"/>
    </row>
    <row r="3" spans="1:12" s="15" customFormat="1" x14ac:dyDescent="0.25">
      <c r="A3" s="13" t="s">
        <v>27</v>
      </c>
      <c r="B3" s="14"/>
      <c r="I3" s="16"/>
      <c r="J3" s="17"/>
      <c r="K3" s="17"/>
      <c r="L3" s="18"/>
    </row>
    <row r="4" spans="1:12" x14ac:dyDescent="0.25">
      <c r="A4" s="20" t="s">
        <v>28</v>
      </c>
      <c r="B4" s="19"/>
      <c r="C4" s="19"/>
      <c r="D4" s="19"/>
      <c r="I4" s="10"/>
      <c r="J4" s="11"/>
      <c r="K4" s="11"/>
      <c r="L4" s="7"/>
    </row>
    <row r="5" spans="1:12" x14ac:dyDescent="0.25">
      <c r="A5" s="38" t="s">
        <v>29</v>
      </c>
      <c r="B5" s="80">
        <v>4</v>
      </c>
      <c r="C5" s="19" t="s">
        <v>30</v>
      </c>
      <c r="D5" s="19"/>
      <c r="I5" s="10"/>
      <c r="J5" s="11"/>
      <c r="K5" s="11"/>
      <c r="L5" s="7"/>
    </row>
    <row r="6" spans="1:12" x14ac:dyDescent="0.25">
      <c r="A6" s="38" t="s">
        <v>31</v>
      </c>
      <c r="B6" s="80">
        <v>7</v>
      </c>
      <c r="C6" s="19" t="s">
        <v>30</v>
      </c>
      <c r="D6" s="19"/>
      <c r="I6" s="10"/>
      <c r="J6" s="11"/>
      <c r="K6" s="11"/>
      <c r="L6" s="7"/>
    </row>
    <row r="7" spans="1:12" x14ac:dyDescent="0.25">
      <c r="A7" s="21"/>
      <c r="B7" s="22"/>
      <c r="C7" s="19"/>
      <c r="D7" s="4"/>
      <c r="I7" s="10"/>
      <c r="J7" s="11"/>
      <c r="K7" s="11"/>
      <c r="L7" s="7"/>
    </row>
    <row r="8" spans="1:12" x14ac:dyDescent="0.25">
      <c r="A8" s="21" t="s">
        <v>32</v>
      </c>
      <c r="B8" s="23">
        <v>52</v>
      </c>
      <c r="C8" s="22" t="s">
        <v>33</v>
      </c>
      <c r="D8" s="4"/>
      <c r="I8" s="10"/>
      <c r="J8" s="11"/>
      <c r="K8" s="11"/>
      <c r="L8" s="7"/>
    </row>
    <row r="9" spans="1:12" x14ac:dyDescent="0.25">
      <c r="A9" s="39" t="s">
        <v>34</v>
      </c>
      <c r="B9" s="75">
        <v>8</v>
      </c>
      <c r="C9" s="22" t="s">
        <v>33</v>
      </c>
      <c r="D9" s="4"/>
      <c r="I9" s="10"/>
      <c r="J9" s="11"/>
      <c r="K9" s="11"/>
      <c r="L9" s="7"/>
    </row>
    <row r="10" spans="1:12" x14ac:dyDescent="0.25">
      <c r="A10" s="21" t="s">
        <v>35</v>
      </c>
      <c r="B10" s="75">
        <v>44</v>
      </c>
      <c r="C10" s="22" t="s">
        <v>33</v>
      </c>
      <c r="D10" s="4"/>
      <c r="I10" s="10"/>
      <c r="J10" s="11"/>
      <c r="K10" s="11"/>
      <c r="L10" s="7"/>
    </row>
    <row r="11" spans="1:12" x14ac:dyDescent="0.25">
      <c r="A11" s="21"/>
      <c r="B11" s="4"/>
      <c r="C11" s="4"/>
      <c r="D11" s="4"/>
      <c r="I11" s="10"/>
      <c r="J11" s="11"/>
      <c r="K11" s="11"/>
      <c r="L11" s="7"/>
    </row>
    <row r="12" spans="1:12" x14ac:dyDescent="0.25">
      <c r="A12" s="39" t="s">
        <v>36</v>
      </c>
      <c r="B12" s="80">
        <v>8.3000000000000007</v>
      </c>
      <c r="C12" s="4" t="s">
        <v>3</v>
      </c>
      <c r="D12" s="4"/>
      <c r="I12" s="10"/>
      <c r="J12" s="11"/>
      <c r="K12" s="11"/>
      <c r="L12" s="7"/>
    </row>
    <row r="13" spans="1:12" x14ac:dyDescent="0.25">
      <c r="A13" s="39" t="s">
        <v>37</v>
      </c>
      <c r="B13" s="79">
        <v>21.3</v>
      </c>
      <c r="C13" s="4" t="s">
        <v>38</v>
      </c>
      <c r="D13" s="4"/>
      <c r="I13" s="10"/>
      <c r="J13" s="11"/>
      <c r="K13" s="11"/>
      <c r="L13" s="7"/>
    </row>
    <row r="14" spans="1:12" x14ac:dyDescent="0.25">
      <c r="A14" s="39" t="s">
        <v>39</v>
      </c>
      <c r="B14" s="24">
        <f>B13*(B5+B6)</f>
        <v>234.3</v>
      </c>
      <c r="C14" s="22" t="s">
        <v>38</v>
      </c>
      <c r="D14" s="4"/>
      <c r="I14" s="10"/>
      <c r="J14" s="11"/>
      <c r="K14" s="11"/>
      <c r="L14" s="7"/>
    </row>
    <row r="15" spans="1:12" x14ac:dyDescent="0.25">
      <c r="A15" s="39" t="s">
        <v>40</v>
      </c>
      <c r="B15" s="24">
        <f>(B5*B13+B6*B13*2)</f>
        <v>383.4</v>
      </c>
      <c r="C15" s="4" t="s">
        <v>41</v>
      </c>
      <c r="D15" s="4"/>
      <c r="I15" s="10"/>
      <c r="J15" s="11"/>
      <c r="K15" s="11"/>
      <c r="L15" s="7"/>
    </row>
    <row r="16" spans="1:12" x14ac:dyDescent="0.25">
      <c r="A16" s="39"/>
      <c r="B16" s="22"/>
      <c r="C16" s="4"/>
      <c r="D16" s="4"/>
      <c r="I16" s="10"/>
      <c r="J16" s="11"/>
      <c r="K16" s="11"/>
      <c r="L16" s="7"/>
    </row>
    <row r="17" spans="1:12" x14ac:dyDescent="0.25">
      <c r="A17" s="39" t="s">
        <v>45</v>
      </c>
      <c r="B17" s="24">
        <f>B15*B12</f>
        <v>3182.2200000000003</v>
      </c>
      <c r="C17" s="4" t="s">
        <v>42</v>
      </c>
      <c r="D17" s="4"/>
      <c r="I17" s="10"/>
      <c r="J17" s="11"/>
      <c r="K17" s="11"/>
      <c r="L17" s="7"/>
    </row>
    <row r="18" spans="1:12" x14ac:dyDescent="0.25">
      <c r="A18" s="40" t="s">
        <v>44</v>
      </c>
      <c r="B18" s="25">
        <f>0.9*B17</f>
        <v>2863.9980000000005</v>
      </c>
      <c r="C18" s="1" t="s">
        <v>42</v>
      </c>
      <c r="D18" s="4">
        <v>90</v>
      </c>
      <c r="E18" s="4" t="s">
        <v>88</v>
      </c>
      <c r="I18" s="10"/>
      <c r="J18" s="11"/>
      <c r="K18" s="11"/>
      <c r="L18" s="7"/>
    </row>
    <row r="19" spans="1:12" s="34" customFormat="1" x14ac:dyDescent="0.25">
      <c r="A19" s="39" t="s">
        <v>72</v>
      </c>
      <c r="B19" s="24">
        <f>B17-B18</f>
        <v>318.22199999999975</v>
      </c>
      <c r="C19" s="4" t="s">
        <v>42</v>
      </c>
      <c r="D19" s="4"/>
      <c r="I19" s="35"/>
      <c r="J19" s="36"/>
      <c r="K19" s="36"/>
      <c r="L19" s="9"/>
    </row>
    <row r="20" spans="1:12" s="34" customFormat="1" x14ac:dyDescent="0.25">
      <c r="A20" s="39" t="s">
        <v>71</v>
      </c>
      <c r="B20" s="78">
        <v>138</v>
      </c>
      <c r="C20" s="4" t="s">
        <v>42</v>
      </c>
      <c r="D20" s="4"/>
      <c r="I20" s="35"/>
      <c r="J20" s="36"/>
      <c r="K20" s="36"/>
      <c r="L20" s="9"/>
    </row>
    <row r="21" spans="1:12" x14ac:dyDescent="0.25">
      <c r="A21" s="39" t="s">
        <v>73</v>
      </c>
      <c r="B21" s="24">
        <f>B17+B20</f>
        <v>3320.2200000000003</v>
      </c>
      <c r="C21" s="4" t="s">
        <v>42</v>
      </c>
      <c r="D21" s="4"/>
      <c r="I21" s="10"/>
      <c r="J21" s="11"/>
      <c r="K21" s="11"/>
      <c r="L21" s="7"/>
    </row>
    <row r="22" spans="1:12" x14ac:dyDescent="0.25">
      <c r="D22" s="4"/>
      <c r="I22" s="10"/>
      <c r="J22" s="11"/>
      <c r="K22" s="11"/>
      <c r="L22" s="7"/>
    </row>
    <row r="23" spans="1:12" s="26" customFormat="1" x14ac:dyDescent="0.25">
      <c r="A23" s="13" t="s">
        <v>46</v>
      </c>
    </row>
    <row r="24" spans="1:12" x14ac:dyDescent="0.25">
      <c r="A24" s="1" t="s">
        <v>55</v>
      </c>
    </row>
    <row r="25" spans="1:12" x14ac:dyDescent="0.25">
      <c r="A25" s="30" t="s">
        <v>68</v>
      </c>
      <c r="B25" s="78">
        <v>265000</v>
      </c>
      <c r="C25" t="s">
        <v>1</v>
      </c>
      <c r="G25" s="4"/>
    </row>
    <row r="26" spans="1:12" x14ac:dyDescent="0.25">
      <c r="A26" s="30" t="s">
        <v>24</v>
      </c>
      <c r="B26" s="75">
        <v>17000</v>
      </c>
      <c r="C26" t="s">
        <v>3</v>
      </c>
      <c r="D26" s="4"/>
    </row>
    <row r="27" spans="1:12" s="4" customFormat="1" x14ac:dyDescent="0.25">
      <c r="A27" s="21" t="s">
        <v>25</v>
      </c>
      <c r="B27" s="79">
        <v>6.7</v>
      </c>
      <c r="C27" s="4" t="s">
        <v>0</v>
      </c>
      <c r="D27" s="62"/>
    </row>
    <row r="28" spans="1:12" x14ac:dyDescent="0.25">
      <c r="A28" s="30" t="s">
        <v>26</v>
      </c>
      <c r="B28" s="75">
        <v>16</v>
      </c>
      <c r="C28" t="s">
        <v>2</v>
      </c>
      <c r="D28" s="61"/>
    </row>
    <row r="29" spans="1:12" x14ac:dyDescent="0.25">
      <c r="A29" s="21" t="s">
        <v>116</v>
      </c>
      <c r="B29" s="75">
        <f>B25*(1-(B28/100))^B27</f>
        <v>82398.079706920791</v>
      </c>
      <c r="C29" t="s">
        <v>1</v>
      </c>
      <c r="D29" s="61"/>
    </row>
    <row r="30" spans="1:12" x14ac:dyDescent="0.25">
      <c r="A30" s="30"/>
    </row>
    <row r="31" spans="1:12" x14ac:dyDescent="0.25">
      <c r="A31" s="30" t="s">
        <v>89</v>
      </c>
      <c r="B31" s="67">
        <v>9000</v>
      </c>
      <c r="C31" s="4" t="s">
        <v>1</v>
      </c>
    </row>
    <row r="32" spans="1:12" x14ac:dyDescent="0.25">
      <c r="A32" s="30" t="s">
        <v>90</v>
      </c>
      <c r="B32" s="68">
        <v>20000</v>
      </c>
      <c r="C32" s="22" t="s">
        <v>1</v>
      </c>
    </row>
    <row r="33" spans="1:5" x14ac:dyDescent="0.25">
      <c r="A33" s="30"/>
    </row>
    <row r="34" spans="1:5" x14ac:dyDescent="0.25">
      <c r="A34" s="30" t="s">
        <v>5</v>
      </c>
    </row>
    <row r="35" spans="1:5" x14ac:dyDescent="0.25">
      <c r="A35" s="30" t="s">
        <v>6</v>
      </c>
      <c r="B35" s="55"/>
      <c r="C35" t="s">
        <v>2</v>
      </c>
    </row>
    <row r="36" spans="1:5" x14ac:dyDescent="0.25">
      <c r="A36" s="30" t="s">
        <v>7</v>
      </c>
      <c r="B36" s="55"/>
      <c r="C36" t="s">
        <v>2</v>
      </c>
    </row>
    <row r="37" spans="1:5" x14ac:dyDescent="0.25">
      <c r="A37" s="30" t="s">
        <v>8</v>
      </c>
      <c r="B37" s="55"/>
      <c r="C37" t="s">
        <v>2</v>
      </c>
    </row>
    <row r="38" spans="1:5" x14ac:dyDescent="0.25">
      <c r="A38" s="30" t="s">
        <v>9</v>
      </c>
      <c r="B38" s="73">
        <v>1.77</v>
      </c>
      <c r="C38" t="s">
        <v>2</v>
      </c>
    </row>
    <row r="39" spans="1:5" x14ac:dyDescent="0.25">
      <c r="A39" s="30"/>
      <c r="B39" s="56"/>
    </row>
    <row r="40" spans="1:5" s="1" customFormat="1" x14ac:dyDescent="0.25">
      <c r="A40" s="1" t="s">
        <v>56</v>
      </c>
      <c r="B40" s="5"/>
    </row>
    <row r="41" spans="1:5" s="1" customFormat="1" x14ac:dyDescent="0.25">
      <c r="A41" s="21" t="s">
        <v>50</v>
      </c>
      <c r="B41" s="73">
        <v>15.25</v>
      </c>
      <c r="C41" s="4" t="s">
        <v>53</v>
      </c>
      <c r="E41"/>
    </row>
    <row r="42" spans="1:5" s="1" customFormat="1" x14ac:dyDescent="0.25">
      <c r="A42" s="21" t="s">
        <v>51</v>
      </c>
      <c r="B42" s="74">
        <v>1.1100000000000001</v>
      </c>
      <c r="C42" s="4" t="s">
        <v>53</v>
      </c>
      <c r="E42"/>
    </row>
    <row r="43" spans="1:5" s="1" customFormat="1" x14ac:dyDescent="0.25">
      <c r="A43" s="21" t="s">
        <v>52</v>
      </c>
      <c r="B43" s="75">
        <v>53</v>
      </c>
      <c r="C43" s="1" t="s">
        <v>2</v>
      </c>
    </row>
    <row r="44" spans="1:5" s="1" customFormat="1" x14ac:dyDescent="0.25">
      <c r="A44" s="21" t="s">
        <v>58</v>
      </c>
      <c r="B44" s="74">
        <v>0.46</v>
      </c>
      <c r="C44" s="4" t="s">
        <v>4</v>
      </c>
      <c r="D44" s="75">
        <f>90*B15</f>
        <v>34506</v>
      </c>
      <c r="E44" s="4" t="s">
        <v>43</v>
      </c>
    </row>
    <row r="45" spans="1:5" s="1" customFormat="1" x14ac:dyDescent="0.25">
      <c r="A45" s="39" t="s">
        <v>59</v>
      </c>
      <c r="B45" s="74">
        <v>11.25</v>
      </c>
      <c r="C45" s="4" t="s">
        <v>60</v>
      </c>
      <c r="D45" s="76">
        <v>224</v>
      </c>
      <c r="E45" s="77" t="s">
        <v>95</v>
      </c>
    </row>
    <row r="46" spans="1:5" s="1" customFormat="1" x14ac:dyDescent="0.25">
      <c r="A46" s="71" t="s">
        <v>94</v>
      </c>
      <c r="B46" s="74">
        <f>700*1.5</f>
        <v>1050</v>
      </c>
      <c r="C46" s="4" t="s">
        <v>87</v>
      </c>
    </row>
    <row r="47" spans="1:5" s="1" customFormat="1" x14ac:dyDescent="0.25">
      <c r="A47" s="63"/>
      <c r="B47" s="87"/>
    </row>
    <row r="48" spans="1:5" s="1" customFormat="1" x14ac:dyDescent="0.25">
      <c r="A48" s="1" t="s">
        <v>57</v>
      </c>
      <c r="B48" s="5"/>
    </row>
    <row r="49" spans="1:8" x14ac:dyDescent="0.25">
      <c r="A49" t="s">
        <v>11</v>
      </c>
      <c r="E49" s="6"/>
      <c r="F49" s="7"/>
      <c r="G49" s="7"/>
      <c r="H49" s="7"/>
    </row>
    <row r="50" spans="1:8" x14ac:dyDescent="0.25">
      <c r="A50" s="21" t="s">
        <v>12</v>
      </c>
      <c r="B50" s="73">
        <v>1.6</v>
      </c>
      <c r="C50" t="s">
        <v>13</v>
      </c>
      <c r="E50" s="12"/>
      <c r="F50" s="7"/>
      <c r="G50" s="7"/>
      <c r="H50" s="7"/>
    </row>
    <row r="51" spans="1:8" x14ac:dyDescent="0.25">
      <c r="A51" s="30" t="s">
        <v>14</v>
      </c>
      <c r="B51" s="74">
        <v>12</v>
      </c>
      <c r="C51" t="s">
        <v>15</v>
      </c>
      <c r="E51" s="12"/>
      <c r="F51" s="7"/>
      <c r="G51" s="7"/>
      <c r="H51" s="7"/>
    </row>
    <row r="52" spans="1:8" x14ac:dyDescent="0.25">
      <c r="A52" s="30" t="s">
        <v>16</v>
      </c>
      <c r="B52" s="27">
        <f>B51*B50</f>
        <v>19.200000000000003</v>
      </c>
      <c r="C52" t="s">
        <v>18</v>
      </c>
    </row>
    <row r="53" spans="1:8" x14ac:dyDescent="0.25">
      <c r="A53" s="30" t="s">
        <v>62</v>
      </c>
      <c r="B53" s="55">
        <v>3.5</v>
      </c>
      <c r="C53" t="s">
        <v>13</v>
      </c>
    </row>
    <row r="54" spans="1:8" x14ac:dyDescent="0.25">
      <c r="A54" s="30" t="s">
        <v>63</v>
      </c>
      <c r="B54" s="27">
        <v>0.1</v>
      </c>
      <c r="C54" t="s">
        <v>15</v>
      </c>
    </row>
    <row r="55" spans="1:8" x14ac:dyDescent="0.25">
      <c r="A55" s="30" t="s">
        <v>64</v>
      </c>
      <c r="B55" s="27">
        <f>B53*B54</f>
        <v>0.35000000000000003</v>
      </c>
      <c r="C55" t="s">
        <v>18</v>
      </c>
    </row>
    <row r="56" spans="1:8" x14ac:dyDescent="0.25">
      <c r="A56" s="30" t="s">
        <v>65</v>
      </c>
      <c r="B56" s="55">
        <v>3.3</v>
      </c>
      <c r="C56" t="s">
        <v>13</v>
      </c>
    </row>
    <row r="57" spans="1:8" x14ac:dyDescent="0.25">
      <c r="A57" s="30" t="s">
        <v>66</v>
      </c>
      <c r="B57" s="27">
        <v>0.1</v>
      </c>
      <c r="C57" t="s">
        <v>15</v>
      </c>
    </row>
    <row r="58" spans="1:8" x14ac:dyDescent="0.25">
      <c r="A58" s="30" t="s">
        <v>67</v>
      </c>
      <c r="B58" s="27">
        <f>B56*B57</f>
        <v>0.33</v>
      </c>
      <c r="C58" t="s">
        <v>18</v>
      </c>
    </row>
    <row r="59" spans="1:8" x14ac:dyDescent="0.25">
      <c r="A59" s="21" t="s">
        <v>117</v>
      </c>
      <c r="B59" s="55">
        <v>3</v>
      </c>
      <c r="C59" t="s">
        <v>13</v>
      </c>
      <c r="E59" s="8"/>
      <c r="F59" s="7"/>
      <c r="G59" s="7"/>
      <c r="H59" s="7"/>
    </row>
    <row r="60" spans="1:8" x14ac:dyDescent="0.25">
      <c r="A60" s="21" t="s">
        <v>118</v>
      </c>
      <c r="B60" s="27">
        <v>0.2</v>
      </c>
      <c r="C60" t="s">
        <v>15</v>
      </c>
    </row>
    <row r="61" spans="1:8" x14ac:dyDescent="0.25">
      <c r="A61" s="21" t="s">
        <v>119</v>
      </c>
      <c r="B61" s="27">
        <f>B60*B59</f>
        <v>0.60000000000000009</v>
      </c>
      <c r="C61" t="s">
        <v>18</v>
      </c>
    </row>
    <row r="62" spans="1:8" x14ac:dyDescent="0.25">
      <c r="A62" s="30" t="s">
        <v>17</v>
      </c>
      <c r="B62" s="27">
        <v>29</v>
      </c>
      <c r="C62" s="4" t="s">
        <v>97</v>
      </c>
    </row>
    <row r="63" spans="1:8" x14ac:dyDescent="0.25">
      <c r="A63" s="21" t="s">
        <v>96</v>
      </c>
      <c r="B63" s="27">
        <f>+(B62/100*B25)/B27</f>
        <v>11470.149253731342</v>
      </c>
      <c r="C63" s="4" t="s">
        <v>98</v>
      </c>
    </row>
    <row r="64" spans="1:8" x14ac:dyDescent="0.25">
      <c r="A64" s="30"/>
      <c r="B64" s="55">
        <f>+B63/B18</f>
        <v>4.0049431786374639</v>
      </c>
      <c r="C64" t="s">
        <v>18</v>
      </c>
      <c r="D64" s="4"/>
      <c r="E64" s="2"/>
    </row>
    <row r="65" spans="1:7" x14ac:dyDescent="0.25">
      <c r="A65" s="30" t="s">
        <v>19</v>
      </c>
      <c r="B65" s="73">
        <v>2.5</v>
      </c>
      <c r="C65" t="s">
        <v>4</v>
      </c>
      <c r="D65" s="54">
        <f>17297/2</f>
        <v>8648.5</v>
      </c>
      <c r="E65" t="s">
        <v>83</v>
      </c>
      <c r="G65" s="2"/>
    </row>
    <row r="66" spans="1:7" x14ac:dyDescent="0.25">
      <c r="A66" s="1"/>
    </row>
    <row r="67" spans="1:7" x14ac:dyDescent="0.25">
      <c r="A67" s="1"/>
    </row>
    <row r="68" spans="1:7" s="26" customFormat="1" x14ac:dyDescent="0.25">
      <c r="A68" s="13" t="s">
        <v>61</v>
      </c>
    </row>
    <row r="70" spans="1:7" x14ac:dyDescent="0.25">
      <c r="B70" s="29" t="s">
        <v>10</v>
      </c>
      <c r="C70" s="29" t="s">
        <v>18</v>
      </c>
    </row>
    <row r="71" spans="1:7" s="1" customFormat="1" x14ac:dyDescent="0.25">
      <c r="A71" s="1" t="s">
        <v>47</v>
      </c>
    </row>
    <row r="73" spans="1:7" x14ac:dyDescent="0.25">
      <c r="A73" s="30" t="s">
        <v>20</v>
      </c>
      <c r="B73" s="28">
        <f>(B25-B29)/B27+ B31/B27</f>
        <v>28597.30153628048</v>
      </c>
      <c r="C73" s="2">
        <f>B73/$B$18</f>
        <v>9.985098291367688</v>
      </c>
    </row>
    <row r="74" spans="1:7" x14ac:dyDescent="0.25">
      <c r="A74" s="30" t="s">
        <v>21</v>
      </c>
      <c r="B74" s="28">
        <f>(B38/100)*(((B25+B29)/2)+B31/2+B32)</f>
        <v>3508.1230054062489</v>
      </c>
      <c r="C74" s="2">
        <f>B74/$B$18</f>
        <v>1.2249041393905471</v>
      </c>
    </row>
    <row r="75" spans="1:7" x14ac:dyDescent="0.25">
      <c r="A75" s="21" t="s">
        <v>92</v>
      </c>
      <c r="B75" s="28">
        <v>3100</v>
      </c>
      <c r="C75" s="2"/>
    </row>
    <row r="76" spans="1:7" x14ac:dyDescent="0.25">
      <c r="A76" s="30" t="s">
        <v>54</v>
      </c>
      <c r="B76" s="70">
        <v>1840</v>
      </c>
      <c r="C76" s="2">
        <f>B76/$B$18</f>
        <v>0.64245854920289736</v>
      </c>
    </row>
    <row r="77" spans="1:7" x14ac:dyDescent="0.25">
      <c r="A77" s="21" t="s">
        <v>86</v>
      </c>
      <c r="B77" s="70">
        <v>2850</v>
      </c>
      <c r="C77" s="2"/>
    </row>
    <row r="78" spans="1:7" ht="13.8" thickBot="1" x14ac:dyDescent="0.3">
      <c r="A78" s="64" t="s">
        <v>93</v>
      </c>
      <c r="B78" s="72">
        <v>3300</v>
      </c>
      <c r="C78" s="32">
        <f>B78/$B$18</f>
        <v>1.1522354415051963</v>
      </c>
    </row>
    <row r="79" spans="1:7" x14ac:dyDescent="0.25">
      <c r="A79" s="30" t="s">
        <v>22</v>
      </c>
      <c r="B79" s="28">
        <f>SUM(B73:B78)</f>
        <v>43195.424541686727</v>
      </c>
      <c r="C79" s="2">
        <f>SUM(C73:C78)</f>
        <v>13.004696421466329</v>
      </c>
    </row>
    <row r="81" spans="1:5" s="1" customFormat="1" x14ac:dyDescent="0.25">
      <c r="A81" s="1" t="s">
        <v>48</v>
      </c>
      <c r="B81" s="33"/>
    </row>
    <row r="82" spans="1:5" x14ac:dyDescent="0.25">
      <c r="A82" s="30" t="s">
        <v>69</v>
      </c>
      <c r="B82" s="28">
        <f>B17*B41</f>
        <v>48528.855000000003</v>
      </c>
      <c r="C82" s="2">
        <f t="shared" ref="C82:C88" si="0">B82/$B$18</f>
        <v>16.944444444444443</v>
      </c>
    </row>
    <row r="83" spans="1:5" x14ac:dyDescent="0.25">
      <c r="A83" s="30" t="s">
        <v>51</v>
      </c>
      <c r="B83" s="28">
        <f>B6*B13*4*B42</f>
        <v>662.00400000000002</v>
      </c>
      <c r="C83" s="2">
        <f t="shared" si="0"/>
        <v>0.23114680946006244</v>
      </c>
    </row>
    <row r="84" spans="1:5" x14ac:dyDescent="0.25">
      <c r="A84" s="30" t="s">
        <v>74</v>
      </c>
      <c r="B84" s="28">
        <f>B20*B41</f>
        <v>2104.5</v>
      </c>
      <c r="C84" s="2">
        <f t="shared" si="0"/>
        <v>0.73481196565081386</v>
      </c>
    </row>
    <row r="85" spans="1:5" x14ac:dyDescent="0.25">
      <c r="A85" s="30" t="s">
        <v>70</v>
      </c>
      <c r="B85" s="28">
        <f>(B43/100)*SUM(B82:B84)</f>
        <v>27186.540270000005</v>
      </c>
      <c r="C85" s="2">
        <f t="shared" si="0"/>
        <v>9.4925137063643206</v>
      </c>
    </row>
    <row r="86" spans="1:5" x14ac:dyDescent="0.25">
      <c r="A86" s="30" t="s">
        <v>75</v>
      </c>
      <c r="B86" s="28">
        <f>B44*D44</f>
        <v>15872.76</v>
      </c>
      <c r="C86" s="2">
        <f t="shared" si="0"/>
        <v>5.5421686746987939</v>
      </c>
    </row>
    <row r="87" spans="1:5" x14ac:dyDescent="0.25">
      <c r="A87" s="57" t="s">
        <v>76</v>
      </c>
      <c r="B87" s="65">
        <f>B45*D45</f>
        <v>2520</v>
      </c>
      <c r="C87" s="66">
        <f t="shared" si="0"/>
        <v>0.87988888260396814</v>
      </c>
    </row>
    <row r="88" spans="1:5" ht="13.8" thickBot="1" x14ac:dyDescent="0.3">
      <c r="A88" s="69" t="s">
        <v>91</v>
      </c>
      <c r="B88" s="37">
        <f>+B46</f>
        <v>1050</v>
      </c>
      <c r="C88" s="32">
        <f t="shared" si="0"/>
        <v>0.36662036775165341</v>
      </c>
    </row>
    <row r="89" spans="1:5" x14ac:dyDescent="0.25">
      <c r="A89" s="30" t="s">
        <v>22</v>
      </c>
      <c r="B89" s="28">
        <f>SUM(B82:B87)</f>
        <v>96874.659270000004</v>
      </c>
      <c r="C89" s="2">
        <f>SUM(C82:C88)</f>
        <v>34.191594850974056</v>
      </c>
    </row>
    <row r="90" spans="1:5" x14ac:dyDescent="0.25">
      <c r="A90" s="30"/>
    </row>
    <row r="91" spans="1:5" s="1" customFormat="1" x14ac:dyDescent="0.25">
      <c r="A91" s="1" t="s">
        <v>49</v>
      </c>
      <c r="B91" s="5"/>
      <c r="E91"/>
    </row>
    <row r="92" spans="1:5" x14ac:dyDescent="0.25">
      <c r="A92" s="30" t="s">
        <v>77</v>
      </c>
      <c r="B92" s="28">
        <f>B52*B18</f>
        <v>54988.76160000002</v>
      </c>
      <c r="C92" s="2">
        <f t="shared" ref="C92:C97" si="1">B92/$B$18</f>
        <v>19.200000000000003</v>
      </c>
      <c r="E92" s="1"/>
    </row>
    <row r="93" spans="1:5" x14ac:dyDescent="0.25">
      <c r="A93" s="30" t="s">
        <v>78</v>
      </c>
      <c r="B93" s="28">
        <f>B55*B18</f>
        <v>1002.3993000000003</v>
      </c>
      <c r="C93" s="2">
        <f t="shared" si="1"/>
        <v>0.35000000000000003</v>
      </c>
    </row>
    <row r="94" spans="1:5" x14ac:dyDescent="0.25">
      <c r="A94" s="30" t="s">
        <v>79</v>
      </c>
      <c r="B94" s="28">
        <f>B58*B18</f>
        <v>945.11934000000019</v>
      </c>
      <c r="C94" s="2">
        <f t="shared" si="1"/>
        <v>0.33</v>
      </c>
    </row>
    <row r="95" spans="1:5" x14ac:dyDescent="0.25">
      <c r="A95" s="30" t="s">
        <v>80</v>
      </c>
      <c r="B95" s="28">
        <f>B61*B18</f>
        <v>1718.3988000000006</v>
      </c>
      <c r="C95" s="2">
        <f t="shared" si="1"/>
        <v>0.60000000000000009</v>
      </c>
    </row>
    <row r="96" spans="1:5" x14ac:dyDescent="0.25">
      <c r="A96" s="30" t="s">
        <v>81</v>
      </c>
      <c r="B96" s="28">
        <f>B64*B18</f>
        <v>11470.149253731341</v>
      </c>
      <c r="C96" s="2">
        <f t="shared" si="1"/>
        <v>4.0049431786374639</v>
      </c>
    </row>
    <row r="97" spans="1:3" ht="13.8" thickBot="1" x14ac:dyDescent="0.3">
      <c r="A97" s="31" t="s">
        <v>82</v>
      </c>
      <c r="B97" s="37">
        <f>B65*D65</f>
        <v>21621.25</v>
      </c>
      <c r="C97" s="32">
        <f t="shared" si="1"/>
        <v>7.5493244059527962</v>
      </c>
    </row>
    <row r="98" spans="1:3" x14ac:dyDescent="0.25">
      <c r="A98" s="30" t="s">
        <v>22</v>
      </c>
      <c r="B98" s="28">
        <f>SUM(B92:B97)</f>
        <v>91746.078293731363</v>
      </c>
      <c r="C98" s="2">
        <f>SUM(C92:C97)</f>
        <v>32.034267584590268</v>
      </c>
    </row>
    <row r="100" spans="1:3" ht="13.8" thickBot="1" x14ac:dyDescent="0.3"/>
    <row r="101" spans="1:3" x14ac:dyDescent="0.25">
      <c r="A101" s="43" t="s">
        <v>84</v>
      </c>
      <c r="B101" s="44">
        <f>B79+B89+B98</f>
        <v>231816.1621054181</v>
      </c>
      <c r="C101" s="45" t="s">
        <v>10</v>
      </c>
    </row>
    <row r="102" spans="1:3" x14ac:dyDescent="0.25">
      <c r="A102" s="81"/>
      <c r="B102" s="82">
        <v>5</v>
      </c>
      <c r="C102" s="83" t="s">
        <v>2</v>
      </c>
    </row>
    <row r="103" spans="1:3" ht="13.8" thickBot="1" x14ac:dyDescent="0.3">
      <c r="A103" s="46"/>
      <c r="B103" s="41">
        <f>B101/B18*(100+B102)/100</f>
        <v>84.988526601865289</v>
      </c>
      <c r="C103" s="42" t="s">
        <v>18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zoomScaleNormal="100" workbookViewId="0">
      <selection activeCell="V5" sqref="V5"/>
    </sheetView>
  </sheetViews>
  <sheetFormatPr defaultRowHeight="13.2" x14ac:dyDescent="0.25"/>
  <sheetData>
    <row r="1" spans="1:7" x14ac:dyDescent="0.25">
      <c r="A1" s="1" t="s">
        <v>110</v>
      </c>
      <c r="D1" s="59"/>
    </row>
    <row r="2" spans="1:7" x14ac:dyDescent="0.25">
      <c r="D2" s="59"/>
    </row>
    <row r="3" spans="1:7" x14ac:dyDescent="0.25">
      <c r="A3" s="1" t="s">
        <v>99</v>
      </c>
      <c r="D3" s="29" t="s">
        <v>100</v>
      </c>
      <c r="E3" s="4"/>
      <c r="G3" t="s">
        <v>111</v>
      </c>
    </row>
    <row r="4" spans="1:7" x14ac:dyDescent="0.25">
      <c r="B4" s="4" t="s">
        <v>101</v>
      </c>
      <c r="D4" s="84">
        <v>18</v>
      </c>
      <c r="G4" s="4" t="s">
        <v>115</v>
      </c>
    </row>
    <row r="5" spans="1:7" x14ac:dyDescent="0.25">
      <c r="B5" s="4" t="s">
        <v>102</v>
      </c>
      <c r="D5" s="84">
        <v>10</v>
      </c>
    </row>
    <row r="6" spans="1:7" x14ac:dyDescent="0.25">
      <c r="B6" s="4" t="s">
        <v>103</v>
      </c>
      <c r="D6" s="84">
        <v>8</v>
      </c>
    </row>
    <row r="7" spans="1:7" x14ac:dyDescent="0.25">
      <c r="D7" s="59"/>
    </row>
    <row r="8" spans="1:7" x14ac:dyDescent="0.25">
      <c r="A8" s="1" t="s">
        <v>104</v>
      </c>
      <c r="D8" s="29" t="s">
        <v>105</v>
      </c>
      <c r="E8" s="4"/>
      <c r="F8" s="58" t="s">
        <v>2</v>
      </c>
    </row>
    <row r="9" spans="1:7" x14ac:dyDescent="0.25">
      <c r="B9" s="4" t="s">
        <v>101</v>
      </c>
      <c r="D9" s="59">
        <f>+D$12*F9/100</f>
        <v>17500</v>
      </c>
      <c r="F9" s="84">
        <v>50</v>
      </c>
    </row>
    <row r="10" spans="1:7" x14ac:dyDescent="0.25">
      <c r="B10" s="4" t="s">
        <v>102</v>
      </c>
      <c r="D10" s="59">
        <f t="shared" ref="D10:D11" si="0">+D$12*F10/100</f>
        <v>14000</v>
      </c>
      <c r="F10" s="84">
        <v>40</v>
      </c>
    </row>
    <row r="11" spans="1:7" x14ac:dyDescent="0.25">
      <c r="B11" s="4" t="s">
        <v>103</v>
      </c>
      <c r="D11" s="59">
        <f t="shared" si="0"/>
        <v>3500</v>
      </c>
      <c r="F11" s="84">
        <v>10</v>
      </c>
    </row>
    <row r="12" spans="1:7" x14ac:dyDescent="0.25">
      <c r="D12" s="84">
        <v>35000</v>
      </c>
    </row>
    <row r="13" spans="1:7" x14ac:dyDescent="0.25">
      <c r="D13" s="59"/>
    </row>
    <row r="14" spans="1:7" x14ac:dyDescent="0.25">
      <c r="D14" s="59"/>
    </row>
    <row r="15" spans="1:7" x14ac:dyDescent="0.25">
      <c r="A15" s="1" t="s">
        <v>106</v>
      </c>
      <c r="D15" s="29" t="s">
        <v>3</v>
      </c>
      <c r="G15" t="s">
        <v>112</v>
      </c>
    </row>
    <row r="16" spans="1:7" x14ac:dyDescent="0.25">
      <c r="B16" s="4" t="s">
        <v>101</v>
      </c>
      <c r="D16" s="85">
        <f>+D9/D4</f>
        <v>972.22222222222217</v>
      </c>
      <c r="G16" t="s">
        <v>113</v>
      </c>
    </row>
    <row r="17" spans="1:9" x14ac:dyDescent="0.25">
      <c r="B17" s="4" t="s">
        <v>102</v>
      </c>
      <c r="D17" s="85">
        <f t="shared" ref="D17:D18" si="1">+D10/D5</f>
        <v>1400</v>
      </c>
      <c r="G17" t="s">
        <v>114</v>
      </c>
    </row>
    <row r="18" spans="1:9" x14ac:dyDescent="0.25">
      <c r="B18" s="4" t="s">
        <v>103</v>
      </c>
      <c r="D18" s="85">
        <f t="shared" si="1"/>
        <v>437.5</v>
      </c>
    </row>
    <row r="19" spans="1:9" x14ac:dyDescent="0.25">
      <c r="D19" s="86">
        <f>SUM(D16:D18)</f>
        <v>2809.7222222222222</v>
      </c>
      <c r="G19">
        <v>1.0840000000000001</v>
      </c>
      <c r="H19">
        <v>1.224</v>
      </c>
      <c r="I19">
        <f>+G19*H19</f>
        <v>1.326816</v>
      </c>
    </row>
    <row r="20" spans="1:9" x14ac:dyDescent="0.25">
      <c r="D20" s="59"/>
    </row>
    <row r="21" spans="1:9" x14ac:dyDescent="0.25">
      <c r="A21" s="4" t="s">
        <v>107</v>
      </c>
      <c r="D21" s="59"/>
    </row>
    <row r="22" spans="1:9" x14ac:dyDescent="0.25">
      <c r="A22" s="4" t="s">
        <v>108</v>
      </c>
    </row>
    <row r="23" spans="1:9" x14ac:dyDescent="0.25">
      <c r="A23" s="4" t="s">
        <v>109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Tuntikustannuslaskelma</vt:lpstr>
      <vt:lpstr>Koneen tuottavuus</vt:lpstr>
    </vt:vector>
  </TitlesOfParts>
  <Company>Joensuun yliopisto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tnurmine</dc:creator>
  <cp:lastModifiedBy>vkivinen</cp:lastModifiedBy>
  <cp:lastPrinted>2007-10-27T14:02:34Z</cp:lastPrinted>
  <dcterms:created xsi:type="dcterms:W3CDTF">2006-05-24T13:06:18Z</dcterms:created>
  <dcterms:modified xsi:type="dcterms:W3CDTF">2022-07-05T09:17:35Z</dcterms:modified>
</cp:coreProperties>
</file>